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evallosNoboa\OneDrive - Estudio Juridico Cevallos Noboa\Dpto. Comercial\Marketing\Campañas\2022\Tributario\01-15 Retención Rel. Dependencia\"/>
    </mc:Choice>
  </mc:AlternateContent>
  <bookViews>
    <workbookView xWindow="-120" yWindow="-120" windowWidth="20730" windowHeight="11160"/>
  </bookViews>
  <sheets>
    <sheet name="DATOS" sheetId="6" r:id="rId1"/>
    <sheet name="Cálculo aporte" sheetId="4" r:id="rId2"/>
    <sheet name="Reducción por discapacidad" sheetId="2" r:id="rId3"/>
    <sheet name="Cálculo IR" sheetId="1" r:id="rId4"/>
    <sheet name="Aplicación gastos personales" sheetId="8" r:id="rId5"/>
    <sheet name="Tabla IR 2022" sheetId="3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22" i="8" l="1"/>
  <c r="C23" i="8" s="1"/>
  <c r="C20" i="8"/>
  <c r="C16" i="8"/>
  <c r="C18" i="6"/>
  <c r="C17" i="8" s="1"/>
  <c r="C7" i="1"/>
  <c r="C13" i="8"/>
  <c r="C12" i="8"/>
  <c r="C11" i="8"/>
  <c r="C10" i="8"/>
  <c r="C9" i="8"/>
  <c r="C8" i="8"/>
  <c r="C14" i="3"/>
  <c r="C13" i="3"/>
  <c r="C12" i="3"/>
  <c r="C11" i="3"/>
  <c r="C10" i="3"/>
  <c r="C9" i="3"/>
  <c r="C8" i="3"/>
  <c r="C7" i="3"/>
  <c r="C12" i="1"/>
  <c r="C6" i="1"/>
  <c r="C5" i="1"/>
  <c r="C4" i="1"/>
  <c r="C6" i="4"/>
  <c r="C5" i="4"/>
  <c r="C4" i="4"/>
  <c r="C14" i="8" l="1"/>
  <c r="C25" i="8" s="1"/>
  <c r="C18" i="8"/>
  <c r="C7" i="4"/>
  <c r="C8" i="4" s="1"/>
  <c r="C9" i="1" s="1"/>
  <c r="E12" i="1"/>
  <c r="E11" i="1"/>
  <c r="E10" i="1"/>
  <c r="C27" i="8" l="1"/>
  <c r="C16" i="1" s="1"/>
  <c r="B7" i="3"/>
  <c r="C9" i="2"/>
  <c r="C10" i="2" s="1"/>
  <c r="E8" i="1" s="1"/>
  <c r="F8" i="1" s="1"/>
  <c r="C8" i="1" s="1"/>
  <c r="C10" i="1" s="1"/>
  <c r="C14" i="1" s="1"/>
  <c r="E18" i="1" l="1"/>
  <c r="E19" i="1"/>
  <c r="E20" i="1"/>
  <c r="E17" i="1"/>
  <c r="E25" i="1"/>
  <c r="E26" i="1"/>
  <c r="E22" i="1"/>
  <c r="E23" i="1"/>
  <c r="E21" i="1"/>
  <c r="E24" i="1"/>
  <c r="C15" i="1" l="1"/>
  <c r="C17" i="1" l="1"/>
</calcChain>
</file>

<file path=xl/sharedStrings.xml><?xml version="1.0" encoding="utf-8"?>
<sst xmlns="http://schemas.openxmlformats.org/spreadsheetml/2006/main" count="64" uniqueCount="55">
  <si>
    <t>Ingreso mensual</t>
  </si>
  <si>
    <t>Reducción jornada laboral</t>
  </si>
  <si>
    <t>Bono</t>
  </si>
  <si>
    <t>Total ingreso</t>
  </si>
  <si>
    <t>Cálculo impuesto a la renta mensual asumido</t>
  </si>
  <si>
    <t>Total base</t>
  </si>
  <si>
    <t>Grado de discapacidad</t>
  </si>
  <si>
    <t>Porcentaje para aplicación del beneficio</t>
  </si>
  <si>
    <t>Fracción básica desgravada</t>
  </si>
  <si>
    <t>Fracción básica</t>
  </si>
  <si>
    <t>Exceso hasta</t>
  </si>
  <si>
    <t>Impuesto sobre la fracción básica</t>
  </si>
  <si>
    <t>% Impuesto sobre la fracción excedente</t>
  </si>
  <si>
    <t>En adelante</t>
  </si>
  <si>
    <t>% discapacidad</t>
  </si>
  <si>
    <t>Total ingreso anual</t>
  </si>
  <si>
    <t>Cálculo aporte personal mensual asumido</t>
  </si>
  <si>
    <t>Base exonerada</t>
  </si>
  <si>
    <t>Art. 9LRTI #12</t>
  </si>
  <si>
    <t>Reducción discapacidad mensual</t>
  </si>
  <si>
    <t>DATOS GENERALES</t>
  </si>
  <si>
    <t>Vivienda anual</t>
  </si>
  <si>
    <t>Salud anual</t>
  </si>
  <si>
    <t>Alimentación anual</t>
  </si>
  <si>
    <t>Vestimenta anual</t>
  </si>
  <si>
    <t>Turismo nacional anual</t>
  </si>
  <si>
    <t xml:space="preserve">IESS </t>
  </si>
  <si>
    <t>AÑO 2022</t>
  </si>
  <si>
    <t>Gastos personales anuales</t>
  </si>
  <si>
    <t xml:space="preserve">Vivienda </t>
  </si>
  <si>
    <t xml:space="preserve">Salud </t>
  </si>
  <si>
    <t xml:space="preserve">Alimentación </t>
  </si>
  <si>
    <t xml:space="preserve">Vestimenta </t>
  </si>
  <si>
    <t xml:space="preserve">Turismo nacional </t>
  </si>
  <si>
    <t xml:space="preserve">Educación, arte y cultura </t>
  </si>
  <si>
    <t>Educación, arte y cultura anual</t>
  </si>
  <si>
    <t>TOTAL GASTOS</t>
  </si>
  <si>
    <t>Aplicación gastos personales</t>
  </si>
  <si>
    <t>ALICUOTA MENSUAL A RETENER</t>
  </si>
  <si>
    <t>Ingresos exentos</t>
  </si>
  <si>
    <t>13 Sueldo</t>
  </si>
  <si>
    <t>14 Sueldo</t>
  </si>
  <si>
    <t>Fondo de reserva</t>
  </si>
  <si>
    <t>Utilidades</t>
  </si>
  <si>
    <t>Ingresos gravados</t>
  </si>
  <si>
    <t>TOTAL INGRESOS</t>
  </si>
  <si>
    <t>2,13 fracción básica año 2022</t>
  </si>
  <si>
    <t>Canasta básica 2021</t>
  </si>
  <si>
    <t>Canasta básica diciembre 2021</t>
  </si>
  <si>
    <t>Aplicación de gastos personales</t>
  </si>
  <si>
    <t>Aporte personal IESS</t>
  </si>
  <si>
    <t>7 Canastas básicas</t>
  </si>
  <si>
    <t>Máximo de gastos</t>
  </si>
  <si>
    <t>IMPUESTO A LA RENTA ANUAL</t>
  </si>
  <si>
    <t>Impuesto a la renta causado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</si>
</sst>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theme="0"/>
      <name val="Garamond"/>
      <family val="1"/>
    </font>
    <font>
      <sz val="10"/>
      <name val="Arial"/>
      <family val="2"/>
    </font>
    <font>
      <sz val="11"/>
      <name val="Garamond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/>
    <xf numFmtId="9" fontId="2" fillId="0" borderId="0" xfId="2" applyFont="1"/>
    <xf numFmtId="43" fontId="2" fillId="0" borderId="0" xfId="0" applyNumberFormat="1" applyFont="1"/>
    <xf numFmtId="9" fontId="2" fillId="0" borderId="1" xfId="2" applyFont="1" applyBorder="1"/>
    <xf numFmtId="0" fontId="3" fillId="0" borderId="0" xfId="0" applyFont="1"/>
    <xf numFmtId="43" fontId="3" fillId="0" borderId="0" xfId="1" applyFont="1"/>
    <xf numFmtId="0" fontId="4" fillId="0" borderId="0" xfId="0" applyFont="1"/>
    <xf numFmtId="0" fontId="6" fillId="0" borderId="0" xfId="0" applyFont="1"/>
    <xf numFmtId="43" fontId="6" fillId="0" borderId="0" xfId="1" applyFont="1"/>
    <xf numFmtId="43" fontId="7" fillId="0" borderId="0" xfId="1" applyFont="1"/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/>
    <xf numFmtId="43" fontId="3" fillId="0" borderId="0" xfId="1" applyFont="1" applyAlignment="1">
      <alignment vertical="center"/>
    </xf>
    <xf numFmtId="43" fontId="4" fillId="0" borderId="0" xfId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66675</xdr:rowOff>
    </xdr:from>
    <xdr:to>
      <xdr:col>10</xdr:col>
      <xdr:colOff>50800</xdr:colOff>
      <xdr:row>5</xdr:row>
      <xdr:rowOff>173163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1BA7DD-98CB-459D-89BE-06E813ED5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66675"/>
          <a:ext cx="2327275" cy="1058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504825</xdr:colOff>
      <xdr:row>7</xdr:row>
      <xdr:rowOff>166687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8C82E75-F87D-4162-8FCF-63B93B101442}"/>
            </a:ext>
          </a:extLst>
        </xdr:cNvPr>
        <xdr:cNvSpPr txBox="1"/>
      </xdr:nvSpPr>
      <xdr:spPr>
        <a:xfrm>
          <a:off x="6715125" y="1500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304800</xdr:colOff>
      <xdr:row>10</xdr:row>
      <xdr:rowOff>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761164C-5286-4FDC-B7F0-22FBEE115B76}"/>
            </a:ext>
          </a:extLst>
        </xdr:cNvPr>
        <xdr:cNvSpPr txBox="1"/>
      </xdr:nvSpPr>
      <xdr:spPr>
        <a:xfrm>
          <a:off x="6515100" y="2262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C" sz="1100">
            <a:ea typeface="Cambria Math" panose="02040503050406030204" pitchFamily="18" charset="0"/>
          </a:endParaRPr>
        </a:p>
      </xdr:txBody>
    </xdr:sp>
    <xdr:clientData/>
  </xdr:oneCellAnchor>
  <xdr:twoCellAnchor editAs="oneCell">
    <xdr:from>
      <xdr:col>6</xdr:col>
      <xdr:colOff>0</xdr:colOff>
      <xdr:row>0</xdr:row>
      <xdr:rowOff>0</xdr:rowOff>
    </xdr:from>
    <xdr:to>
      <xdr:col>9</xdr:col>
      <xdr:colOff>41275</xdr:colOff>
      <xdr:row>5</xdr:row>
      <xdr:rowOff>106488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FF775E-52E9-44FD-A13C-31D153A51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0"/>
          <a:ext cx="2327275" cy="1058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10</xdr:col>
      <xdr:colOff>41275</xdr:colOff>
      <xdr:row>4</xdr:row>
      <xdr:rowOff>106488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8EA550-01DE-4433-81A1-DD725E4E6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0"/>
          <a:ext cx="2327275" cy="10589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504825</xdr:colOff>
      <xdr:row>2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AF138AD-75D9-471F-A3B9-1E12EF5575C6}"/>
            </a:ext>
          </a:extLst>
        </xdr:cNvPr>
        <xdr:cNvSpPr txBox="1"/>
      </xdr:nvSpPr>
      <xdr:spPr>
        <a:xfrm>
          <a:off x="5819775" y="1500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304800</xdr:colOff>
      <xdr:row>2</xdr:row>
      <xdr:rowOff>357187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9CEF868-B63C-48CD-B0E9-0E357D30F9CD}"/>
            </a:ext>
          </a:extLst>
        </xdr:cNvPr>
        <xdr:cNvSpPr txBox="1"/>
      </xdr:nvSpPr>
      <xdr:spPr>
        <a:xfrm>
          <a:off x="5819775" y="2262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C" sz="1100">
            <a:ea typeface="Cambria Math" panose="02040503050406030204" pitchFamily="18" charset="0"/>
          </a:endParaRPr>
        </a:p>
      </xdr:txBody>
    </xdr:sp>
    <xdr:clientData/>
  </xdr:oneCellAnchor>
  <xdr:twoCellAnchor editAs="oneCell">
    <xdr:from>
      <xdr:col>8</xdr:col>
      <xdr:colOff>0</xdr:colOff>
      <xdr:row>0</xdr:row>
      <xdr:rowOff>0</xdr:rowOff>
    </xdr:from>
    <xdr:to>
      <xdr:col>11</xdr:col>
      <xdr:colOff>41275</xdr:colOff>
      <xdr:row>4</xdr:row>
      <xdr:rowOff>87438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35A5C1-2B4A-4706-AF0D-3BD19F2C7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0"/>
          <a:ext cx="2327275" cy="10589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12</xdr:col>
      <xdr:colOff>41275</xdr:colOff>
      <xdr:row>5</xdr:row>
      <xdr:rowOff>106488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A0D6E0-8CF9-45A1-B258-9F006A31D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0"/>
          <a:ext cx="2327275" cy="105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23"/>
  <sheetViews>
    <sheetView tabSelected="1" zoomScale="140" zoomScaleNormal="140" workbookViewId="0"/>
  </sheetViews>
  <sheetFormatPr baseColWidth="10" defaultRowHeight="15" x14ac:dyDescent="0.25"/>
  <cols>
    <col min="1" max="1" width="11.42578125" style="1"/>
    <col min="2" max="2" width="28.42578125" style="1" customWidth="1"/>
    <col min="3" max="16384" width="11.42578125" style="1"/>
  </cols>
  <sheetData>
    <row r="5" spans="2:3" x14ac:dyDescent="0.25">
      <c r="B5" s="20" t="s">
        <v>20</v>
      </c>
      <c r="C5" s="20"/>
    </row>
    <row r="6" spans="2:3" x14ac:dyDescent="0.25">
      <c r="B6" s="1" t="s">
        <v>0</v>
      </c>
      <c r="C6" s="2">
        <v>20000</v>
      </c>
    </row>
    <row r="7" spans="2:3" x14ac:dyDescent="0.25">
      <c r="B7" s="1" t="s">
        <v>1</v>
      </c>
      <c r="C7" s="2">
        <v>0</v>
      </c>
    </row>
    <row r="8" spans="2:3" x14ac:dyDescent="0.25">
      <c r="B8" s="1" t="s">
        <v>2</v>
      </c>
      <c r="C8" s="2">
        <v>0</v>
      </c>
    </row>
    <row r="9" spans="2:3" x14ac:dyDescent="0.25">
      <c r="B9" s="1" t="s">
        <v>43</v>
      </c>
      <c r="C9" s="2">
        <v>0</v>
      </c>
    </row>
    <row r="10" spans="2:3" x14ac:dyDescent="0.25">
      <c r="B10" s="1" t="s">
        <v>21</v>
      </c>
      <c r="C10" s="2">
        <v>0</v>
      </c>
    </row>
    <row r="11" spans="2:3" x14ac:dyDescent="0.25">
      <c r="B11" s="1" t="s">
        <v>22</v>
      </c>
      <c r="C11" s="2">
        <v>0</v>
      </c>
    </row>
    <row r="12" spans="2:3" x14ac:dyDescent="0.25">
      <c r="B12" s="1" t="s">
        <v>35</v>
      </c>
      <c r="C12" s="2">
        <v>0</v>
      </c>
    </row>
    <row r="13" spans="2:3" x14ac:dyDescent="0.25">
      <c r="B13" s="1" t="s">
        <v>23</v>
      </c>
      <c r="C13" s="2">
        <v>0</v>
      </c>
    </row>
    <row r="14" spans="2:3" x14ac:dyDescent="0.25">
      <c r="B14" s="1" t="s">
        <v>24</v>
      </c>
      <c r="C14" s="2">
        <v>0</v>
      </c>
    </row>
    <row r="15" spans="2:3" x14ac:dyDescent="0.25">
      <c r="B15" s="1" t="s">
        <v>25</v>
      </c>
      <c r="C15" s="2">
        <v>0</v>
      </c>
    </row>
    <row r="16" spans="2:3" x14ac:dyDescent="0.25">
      <c r="B16" s="1" t="s">
        <v>14</v>
      </c>
      <c r="C16" s="6">
        <v>0</v>
      </c>
    </row>
    <row r="18" spans="2:3" x14ac:dyDescent="0.25">
      <c r="B18" s="9" t="s">
        <v>39</v>
      </c>
      <c r="C18" s="10">
        <f>SUM(C19:C21)</f>
        <v>13425</v>
      </c>
    </row>
    <row r="19" spans="2:3" x14ac:dyDescent="0.25">
      <c r="B19" s="1" t="s">
        <v>40</v>
      </c>
      <c r="C19" s="1">
        <v>6500</v>
      </c>
    </row>
    <row r="20" spans="2:3" x14ac:dyDescent="0.25">
      <c r="B20" s="1" t="s">
        <v>41</v>
      </c>
      <c r="C20" s="1">
        <v>425</v>
      </c>
    </row>
    <row r="21" spans="2:3" x14ac:dyDescent="0.25">
      <c r="B21" s="1" t="s">
        <v>42</v>
      </c>
      <c r="C21" s="1">
        <v>6500</v>
      </c>
    </row>
    <row r="23" spans="2:3" x14ac:dyDescent="0.25">
      <c r="B23" s="9" t="s">
        <v>48</v>
      </c>
      <c r="C23" s="9">
        <v>719.65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"/>
  <sheetViews>
    <sheetView zoomScale="130" zoomScaleNormal="130" workbookViewId="0">
      <selection activeCell="D9" sqref="D9"/>
    </sheetView>
  </sheetViews>
  <sheetFormatPr baseColWidth="10" defaultRowHeight="15" x14ac:dyDescent="0.25"/>
  <cols>
    <col min="1" max="1" width="11.42578125" style="1"/>
    <col min="2" max="2" width="33" style="1" customWidth="1"/>
    <col min="3" max="3" width="14.42578125" style="2" bestFit="1" customWidth="1"/>
    <col min="4" max="4" width="11.42578125" style="1"/>
    <col min="5" max="9" width="11.42578125" style="11"/>
    <col min="10" max="16384" width="11.42578125" style="1"/>
  </cols>
  <sheetData>
    <row r="3" spans="2:3" x14ac:dyDescent="0.25">
      <c r="B3" s="21" t="s">
        <v>16</v>
      </c>
      <c r="C3" s="21"/>
    </row>
    <row r="4" spans="2:3" x14ac:dyDescent="0.25">
      <c r="B4" s="1" t="s">
        <v>0</v>
      </c>
      <c r="C4" s="2">
        <f>+DATOS!C6</f>
        <v>20000</v>
      </c>
    </row>
    <row r="5" spans="2:3" x14ac:dyDescent="0.25">
      <c r="B5" s="1" t="s">
        <v>1</v>
      </c>
      <c r="C5" s="2">
        <f>+DATOS!C7</f>
        <v>0</v>
      </c>
    </row>
    <row r="6" spans="2:3" x14ac:dyDescent="0.25">
      <c r="B6" s="1" t="s">
        <v>2</v>
      </c>
      <c r="C6" s="2">
        <f>+DATOS!C8</f>
        <v>0</v>
      </c>
    </row>
    <row r="7" spans="2:3" x14ac:dyDescent="0.25">
      <c r="B7" s="1" t="s">
        <v>3</v>
      </c>
      <c r="C7" s="2">
        <f>+C4-C5+C6</f>
        <v>20000</v>
      </c>
    </row>
    <row r="8" spans="2:3" x14ac:dyDescent="0.25">
      <c r="B8" s="9" t="s">
        <v>26</v>
      </c>
      <c r="C8" s="10">
        <f>+C7*9.45%</f>
        <v>1889.9999999999998</v>
      </c>
    </row>
  </sheetData>
  <sheetProtection algorithmName="SHA-512" hashValue="SPyhTAwr/BapqfcnyOiWK+ViVgXyXlGnNaeDtpMdVil5RUbPlT7GBjJU10//GTb1WbhxVlasPFgN2NqgPLjWBg==" saltValue="SGF1Xa79io8oqSqKLC4uqA==" spinCount="100000" sheet="1" objects="1" scenarios="1"/>
  <mergeCells count="1">
    <mergeCell ref="B3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"/>
  <sheetViews>
    <sheetView workbookViewId="0">
      <selection activeCell="F15" sqref="F15"/>
    </sheetView>
  </sheetViews>
  <sheetFormatPr baseColWidth="10" defaultRowHeight="15" x14ac:dyDescent="0.25"/>
  <cols>
    <col min="1" max="1" width="11.42578125" style="1"/>
    <col min="2" max="2" width="23.140625" style="1" customWidth="1"/>
    <col min="3" max="3" width="20.85546875" style="1" customWidth="1"/>
    <col min="4" max="4" width="20.42578125" style="1" customWidth="1"/>
    <col min="5" max="16384" width="11.42578125" style="1"/>
  </cols>
  <sheetData>
    <row r="3" spans="2:4" ht="30" x14ac:dyDescent="0.25">
      <c r="B3" s="22" t="s">
        <v>6</v>
      </c>
      <c r="C3" s="22"/>
      <c r="D3" s="4" t="s">
        <v>7</v>
      </c>
    </row>
    <row r="4" spans="2:4" x14ac:dyDescent="0.25">
      <c r="B4" s="8">
        <v>0.3</v>
      </c>
      <c r="C4" s="8">
        <v>0.49</v>
      </c>
      <c r="D4" s="5">
        <v>0.6</v>
      </c>
    </row>
    <row r="5" spans="2:4" x14ac:dyDescent="0.25">
      <c r="B5" s="8">
        <v>0.5</v>
      </c>
      <c r="C5" s="8">
        <v>0.74</v>
      </c>
      <c r="D5" s="5">
        <v>0.7</v>
      </c>
    </row>
    <row r="6" spans="2:4" x14ac:dyDescent="0.25">
      <c r="B6" s="8">
        <v>0.75</v>
      </c>
      <c r="C6" s="8">
        <v>0.84</v>
      </c>
      <c r="D6" s="5">
        <v>0.8</v>
      </c>
    </row>
    <row r="7" spans="2:4" x14ac:dyDescent="0.25">
      <c r="B7" s="8">
        <v>0.85</v>
      </c>
      <c r="C7" s="8">
        <v>1</v>
      </c>
      <c r="D7" s="5">
        <v>1</v>
      </c>
    </row>
    <row r="9" spans="2:4" x14ac:dyDescent="0.25">
      <c r="B9" s="1" t="s">
        <v>8</v>
      </c>
      <c r="C9" s="7">
        <f>+'Tabla IR 2022'!C6</f>
        <v>11310</v>
      </c>
    </row>
    <row r="10" spans="2:4" x14ac:dyDescent="0.25">
      <c r="B10" s="1" t="s">
        <v>17</v>
      </c>
      <c r="C10" s="7">
        <f>+C9*2</f>
        <v>22620</v>
      </c>
      <c r="D10" s="1" t="s">
        <v>18</v>
      </c>
    </row>
  </sheetData>
  <mergeCells count="1">
    <mergeCell ref="B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6"/>
  <sheetViews>
    <sheetView zoomScale="130" zoomScaleNormal="130" workbookViewId="0"/>
  </sheetViews>
  <sheetFormatPr baseColWidth="10" defaultRowHeight="15" x14ac:dyDescent="0.25"/>
  <cols>
    <col min="1" max="1" width="11.42578125" style="1"/>
    <col min="2" max="2" width="38.85546875" style="1" customWidth="1"/>
    <col min="3" max="3" width="14.42578125" style="2" bestFit="1" customWidth="1"/>
    <col min="4" max="4" width="11.42578125" style="12"/>
    <col min="5" max="6" width="11.42578125" style="19"/>
    <col min="7" max="7" width="11.42578125" style="13"/>
    <col min="8" max="9" width="11.42578125" style="11"/>
    <col min="10" max="16384" width="11.42578125" style="1"/>
  </cols>
  <sheetData>
    <row r="3" spans="2:7" ht="31.5" customHeight="1" x14ac:dyDescent="0.25">
      <c r="B3" s="21" t="s">
        <v>4</v>
      </c>
      <c r="C3" s="21"/>
    </row>
    <row r="4" spans="2:7" x14ac:dyDescent="0.25">
      <c r="B4" s="1" t="s">
        <v>0</v>
      </c>
      <c r="C4" s="2">
        <f>+DATOS!C6</f>
        <v>20000</v>
      </c>
    </row>
    <row r="5" spans="2:7" x14ac:dyDescent="0.25">
      <c r="B5" s="1" t="s">
        <v>1</v>
      </c>
      <c r="C5" s="2">
        <f>+DATOS!C7</f>
        <v>0</v>
      </c>
    </row>
    <row r="6" spans="2:7" x14ac:dyDescent="0.25">
      <c r="B6" s="1" t="s">
        <v>2</v>
      </c>
      <c r="C6" s="2">
        <f>+DATOS!C8</f>
        <v>0</v>
      </c>
    </row>
    <row r="7" spans="2:7" x14ac:dyDescent="0.25">
      <c r="B7" s="1" t="s">
        <v>43</v>
      </c>
      <c r="C7" s="2">
        <f>+DATOS!C9</f>
        <v>0</v>
      </c>
    </row>
    <row r="8" spans="2:7" x14ac:dyDescent="0.25">
      <c r="B8" s="1" t="s">
        <v>19</v>
      </c>
      <c r="C8" s="2">
        <f>+F8/12</f>
        <v>0</v>
      </c>
      <c r="E8" s="19">
        <f>IF(AND(C12&gt;='Reducción por discapacidad'!B4,C12&lt;='Reducción por discapacidad'!C4),'Reducción por discapacidad'!C10*'Reducción por discapacidad'!D4,0)</f>
        <v>0</v>
      </c>
      <c r="F8" s="19">
        <f>_xlfn.IFS(E8&gt;0,E8,E10&gt;0,E10,E11&gt;0,E11,E12&gt;0,E12,C12=0,0)</f>
        <v>0</v>
      </c>
    </row>
    <row r="9" spans="2:7" x14ac:dyDescent="0.25">
      <c r="B9" s="1" t="s">
        <v>50</v>
      </c>
      <c r="C9" s="2">
        <f>+'Cálculo aporte'!$C$8</f>
        <v>1889.9999999999998</v>
      </c>
    </row>
    <row r="10" spans="2:7" x14ac:dyDescent="0.25">
      <c r="B10" s="9" t="s">
        <v>5</v>
      </c>
      <c r="C10" s="10">
        <f>+C4-C5+C6+C7-C8-C9</f>
        <v>18110</v>
      </c>
      <c r="E10" s="19">
        <f>+IF(AND(C12&gt;='Reducción por discapacidad'!B5,C12&lt;='Reducción por discapacidad'!C5),'Reducción por discapacidad'!C10*'Reducción por discapacidad'!D5,0)</f>
        <v>0</v>
      </c>
      <c r="G10" s="14"/>
    </row>
    <row r="11" spans="2:7" x14ac:dyDescent="0.25">
      <c r="E11" s="19">
        <f>+IF(AND(C12&gt;='Reducción por discapacidad'!B6,C12&lt;='Reducción por discapacidad'!C6),'Reducción por discapacidad'!C10*'Reducción por discapacidad'!D6,0)</f>
        <v>0</v>
      </c>
    </row>
    <row r="12" spans="2:7" x14ac:dyDescent="0.25">
      <c r="B12" s="1" t="s">
        <v>14</v>
      </c>
      <c r="C12" s="6">
        <f>+DATOS!C16</f>
        <v>0</v>
      </c>
      <c r="E12" s="19">
        <f>+IF(AND(C12&gt;='Reducción por discapacidad'!B7,C12&lt;='Reducción por discapacidad'!C7),'Reducción por discapacidad'!C10*'Reducción por discapacidad'!D7,0)</f>
        <v>0</v>
      </c>
    </row>
    <row r="14" spans="2:7" x14ac:dyDescent="0.25">
      <c r="B14" s="1" t="s">
        <v>15</v>
      </c>
      <c r="C14" s="2">
        <f>+C10*12</f>
        <v>217320</v>
      </c>
    </row>
    <row r="15" spans="2:7" x14ac:dyDescent="0.25">
      <c r="B15" s="9" t="s">
        <v>54</v>
      </c>
      <c r="C15" s="10">
        <f>_xlfn.IFS(E17&gt;0,E17,E18&gt;0,E18,E19&gt;0,E19,E20&gt;0,E20,E21&gt;0,E21,E22&gt;0,E22,E23&gt;0,E23,E24&gt;0,E24,E25&gt;0,E25,E26&gt;0,E26)</f>
        <v>66787.396299999993</v>
      </c>
    </row>
    <row r="16" spans="2:7" x14ac:dyDescent="0.25">
      <c r="B16" s="9" t="s">
        <v>37</v>
      </c>
      <c r="C16" s="10">
        <f>+'Aplicación gastos personales'!C27</f>
        <v>0</v>
      </c>
    </row>
    <row r="17" spans="2:5" x14ac:dyDescent="0.25">
      <c r="B17" s="15" t="s">
        <v>53</v>
      </c>
      <c r="C17" s="16">
        <f>(+C15-C16)</f>
        <v>66787.396299999993</v>
      </c>
      <c r="E17" s="19">
        <f>IF(AND(C14&gt;='Tabla IR 2022'!B6,C14&lt;='Tabla IR 2022'!C6),((('Cálculo IR'!C14-'Tabla IR 2022'!B6)*'Tabla IR 2022'!E6)+'Tabla IR 2022'!D6),0)</f>
        <v>0</v>
      </c>
    </row>
    <row r="18" spans="2:5" x14ac:dyDescent="0.25">
      <c r="B18" s="9" t="s">
        <v>38</v>
      </c>
      <c r="C18" s="10">
        <f>+C17/12</f>
        <v>5565.6163583333328</v>
      </c>
      <c r="E18" s="19">
        <f>IF(AND(C14&gt;='Tabla IR 2022'!B7,C14&lt;='Tabla IR 2022'!C7),((('Cálculo IR'!C14-'Tabla IR 2022'!B7)*'Tabla IR 2022'!E7)+'Tabla IR 2022'!D7),0)</f>
        <v>0</v>
      </c>
    </row>
    <row r="19" spans="2:5" x14ac:dyDescent="0.25">
      <c r="E19" s="19">
        <f>IF(AND(C14&gt;='Tabla IR 2022'!B8,C14&lt;='Tabla IR 2022'!C8),((('Cálculo IR'!C14-'Tabla IR 2022'!B8)*'Tabla IR 2022'!E8)+'Tabla IR 2022'!D8),0)</f>
        <v>0</v>
      </c>
    </row>
    <row r="20" spans="2:5" x14ac:dyDescent="0.25">
      <c r="E20" s="19">
        <f>IF(AND(C14&gt;='Tabla IR 2022'!B9,C14&lt;='Tabla IR 2022'!C9),((('Cálculo IR'!C14-'Tabla IR 2022'!B9)*'Tabla IR 2022'!E9)+'Tabla IR 2022'!D9),0)</f>
        <v>0</v>
      </c>
    </row>
    <row r="21" spans="2:5" x14ac:dyDescent="0.25">
      <c r="E21" s="19">
        <f>IF(AND(C14&gt;='Tabla IR 2022'!B10,C14&lt;='Tabla IR 2022'!C10),((('Cálculo IR'!C14-'Tabla IR 2022'!B10)*'Tabla IR 2022'!E10)+'Tabla IR 2022'!D10),0)</f>
        <v>0</v>
      </c>
    </row>
    <row r="22" spans="2:5" x14ac:dyDescent="0.25">
      <c r="B22" s="9"/>
      <c r="C22" s="10"/>
      <c r="E22" s="19">
        <f>IF(AND(C14&gt;='Tabla IR 2022'!B11,C14&lt;='Tabla IR 2022'!C11),((('Cálculo IR'!C14-'Tabla IR 2022'!B11)*'Tabla IR 2022'!E11)+'Tabla IR 2022'!D11),0)</f>
        <v>0</v>
      </c>
    </row>
    <row r="23" spans="2:5" x14ac:dyDescent="0.25">
      <c r="B23" s="9"/>
      <c r="C23" s="10"/>
      <c r="E23" s="19">
        <f>IF(AND(C14&gt;='Tabla IR 2022'!B12,C14&lt;='Tabla IR 2022'!C12),((('Cálculo IR'!C14-'Tabla IR 2022'!B12)*'Tabla IR 2022'!E12)+'Tabla IR 2022'!D12),0)</f>
        <v>0</v>
      </c>
    </row>
    <row r="24" spans="2:5" x14ac:dyDescent="0.25">
      <c r="E24" s="19">
        <f>IF(AND(C14&gt;='Tabla IR 2022'!B13,C14&lt;='Tabla IR 2022'!C13),((('Cálculo IR'!C14-'Tabla IR 2022'!B13)*'Tabla IR 2022'!E13)+'Tabla IR 2022'!D13),0)</f>
        <v>0</v>
      </c>
    </row>
    <row r="25" spans="2:5" x14ac:dyDescent="0.25">
      <c r="E25" s="19">
        <f>IF(AND(C14&gt;='Tabla IR 2022'!B14,C14&lt;='Tabla IR 2022'!C14),((('Cálculo IR'!C14-'Tabla IR 2022'!B14)*'Tabla IR 2022'!E14)+'Tabla IR 2022'!D14),0)</f>
        <v>0</v>
      </c>
    </row>
    <row r="26" spans="2:5" x14ac:dyDescent="0.25">
      <c r="B26" s="2"/>
      <c r="E26" s="19">
        <f>IF(AND(C14&gt;='Tabla IR 2022'!B15,C14&lt;='Tabla IR 2022'!C15),((('Cálculo IR'!C14-'Tabla IR 2022'!B15)*'Tabla IR 2022'!E15)+'Tabla IR 2022'!D15),0)</f>
        <v>66787.396299999993</v>
      </c>
    </row>
  </sheetData>
  <sheetProtection algorithmName="SHA-512" hashValue="BR2B/ejWeUdcRgO4OtXnkj+IH87eOTPcMDdxPtMvN8ss9sJadYoKNOhTUGqS6mmUjt27fr/1+CbGLuvK82EU6w==" saltValue="Vf2FwpE8VoOIFtBaLoV1dQ==" spinCount="100000" sheet="1" objects="1" scenarios="1"/>
  <mergeCells count="1">
    <mergeCell ref="B3:C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27"/>
  <sheetViews>
    <sheetView zoomScale="120" zoomScaleNormal="120" workbookViewId="0"/>
  </sheetViews>
  <sheetFormatPr baseColWidth="10" defaultRowHeight="15" x14ac:dyDescent="0.25"/>
  <cols>
    <col min="1" max="1" width="11.42578125" style="1"/>
    <col min="2" max="2" width="39.28515625" style="1" bestFit="1" customWidth="1"/>
    <col min="3" max="3" width="14.28515625" style="1" bestFit="1" customWidth="1"/>
    <col min="4" max="4" width="11.42578125" style="1"/>
    <col min="5" max="6" width="11.42578125" style="2"/>
    <col min="7" max="16384" width="11.42578125" style="1"/>
  </cols>
  <sheetData>
    <row r="6" spans="2:3" x14ac:dyDescent="0.25">
      <c r="B6" s="9" t="s">
        <v>28</v>
      </c>
    </row>
    <row r="8" spans="2:3" x14ac:dyDescent="0.25">
      <c r="B8" s="1" t="s">
        <v>29</v>
      </c>
      <c r="C8" s="7">
        <f>+DATOS!C10</f>
        <v>0</v>
      </c>
    </row>
    <row r="9" spans="2:3" x14ac:dyDescent="0.25">
      <c r="B9" s="1" t="s">
        <v>30</v>
      </c>
      <c r="C9" s="7">
        <f>+DATOS!C11</f>
        <v>0</v>
      </c>
    </row>
    <row r="10" spans="2:3" x14ac:dyDescent="0.25">
      <c r="B10" s="1" t="s">
        <v>34</v>
      </c>
      <c r="C10" s="7">
        <f>+DATOS!C12</f>
        <v>0</v>
      </c>
    </row>
    <row r="11" spans="2:3" x14ac:dyDescent="0.25">
      <c r="B11" s="1" t="s">
        <v>31</v>
      </c>
      <c r="C11" s="7">
        <f>+DATOS!C13</f>
        <v>0</v>
      </c>
    </row>
    <row r="12" spans="2:3" x14ac:dyDescent="0.25">
      <c r="B12" s="1" t="s">
        <v>32</v>
      </c>
      <c r="C12" s="7">
        <f>+DATOS!C14</f>
        <v>0</v>
      </c>
    </row>
    <row r="13" spans="2:3" x14ac:dyDescent="0.25">
      <c r="B13" s="1" t="s">
        <v>33</v>
      </c>
      <c r="C13" s="7">
        <f>+DATOS!C15</f>
        <v>0</v>
      </c>
    </row>
    <row r="14" spans="2:3" x14ac:dyDescent="0.25">
      <c r="B14" s="9" t="s">
        <v>36</v>
      </c>
      <c r="C14" s="7">
        <f>SUM(C8:C13)</f>
        <v>0</v>
      </c>
    </row>
    <row r="16" spans="2:3" x14ac:dyDescent="0.25">
      <c r="B16" s="1" t="s">
        <v>44</v>
      </c>
      <c r="C16" s="7">
        <f>(+DATOS!C6-DATOS!C7+DATOS!C8+DATOS!C9)*12</f>
        <v>240000</v>
      </c>
    </row>
    <row r="17" spans="2:3" x14ac:dyDescent="0.25">
      <c r="B17" s="1" t="s">
        <v>39</v>
      </c>
      <c r="C17" s="7">
        <f>+DATOS!C18</f>
        <v>13425</v>
      </c>
    </row>
    <row r="18" spans="2:3" x14ac:dyDescent="0.25">
      <c r="B18" s="9" t="s">
        <v>45</v>
      </c>
      <c r="C18" s="17">
        <f>+C16+C17</f>
        <v>253425</v>
      </c>
    </row>
    <row r="20" spans="2:3" x14ac:dyDescent="0.25">
      <c r="B20" s="1" t="s">
        <v>46</v>
      </c>
      <c r="C20" s="2">
        <f>+'Tabla IR 2022'!C6*2.13</f>
        <v>24090.3</v>
      </c>
    </row>
    <row r="22" spans="2:3" x14ac:dyDescent="0.25">
      <c r="B22" s="1" t="s">
        <v>47</v>
      </c>
      <c r="C22" s="1">
        <f>+DATOS!C23</f>
        <v>719.65</v>
      </c>
    </row>
    <row r="23" spans="2:3" x14ac:dyDescent="0.25">
      <c r="B23" s="1" t="s">
        <v>51</v>
      </c>
      <c r="C23" s="2">
        <f>+C22*7</f>
        <v>5037.55</v>
      </c>
    </row>
    <row r="24" spans="2:3" x14ac:dyDescent="0.25">
      <c r="C24" s="2"/>
    </row>
    <row r="25" spans="2:3" x14ac:dyDescent="0.25">
      <c r="B25" s="9" t="s">
        <v>52</v>
      </c>
      <c r="C25" s="10">
        <f>_xlfn.IFS(C14&gt;=C23,C23,C14&lt;=C23,C14)</f>
        <v>0</v>
      </c>
    </row>
    <row r="26" spans="2:3" x14ac:dyDescent="0.25">
      <c r="C26" s="2"/>
    </row>
    <row r="27" spans="2:3" x14ac:dyDescent="0.25">
      <c r="B27" s="15" t="s">
        <v>49</v>
      </c>
      <c r="C27" s="18">
        <f>_xlfn.IFS(C18&gt;=C20,C25*10%,C18&lt;=C20,C25*20%)</f>
        <v>0</v>
      </c>
    </row>
  </sheetData>
  <sheetProtection algorithmName="SHA-512" hashValue="BFeMCStZoUQVtVoDV3jL6wsZseRlVftuQWhhMzrVEQeW4rekMFi8ql+6RfWCpAhgtUT74eMM6u7Mh6vK9eZCdQ==" saltValue="rL0uzSt0/L6lK1wXV1Ge6g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5"/>
  <sheetViews>
    <sheetView zoomScale="130" zoomScaleNormal="130" workbookViewId="0">
      <selection activeCell="B2" sqref="B2"/>
    </sheetView>
  </sheetViews>
  <sheetFormatPr baseColWidth="10" defaultRowHeight="15" x14ac:dyDescent="0.25"/>
  <sheetData>
    <row r="4" spans="2:5" x14ac:dyDescent="0.25">
      <c r="B4" s="23" t="s">
        <v>27</v>
      </c>
      <c r="C4" s="23"/>
      <c r="D4" s="23"/>
      <c r="E4" s="23"/>
    </row>
    <row r="5" spans="2:5" ht="60" x14ac:dyDescent="0.25">
      <c r="B5" s="3" t="s">
        <v>9</v>
      </c>
      <c r="C5" s="3" t="s">
        <v>10</v>
      </c>
      <c r="D5" s="3" t="s">
        <v>11</v>
      </c>
      <c r="E5" s="3" t="s">
        <v>12</v>
      </c>
    </row>
    <row r="6" spans="2:5" x14ac:dyDescent="0.25">
      <c r="B6" s="2">
        <v>0</v>
      </c>
      <c r="C6" s="2">
        <v>11310</v>
      </c>
      <c r="D6" s="2">
        <v>0</v>
      </c>
      <c r="E6" s="6">
        <v>0</v>
      </c>
    </row>
    <row r="7" spans="2:5" x14ac:dyDescent="0.25">
      <c r="B7" s="2">
        <f>+C6</f>
        <v>11310</v>
      </c>
      <c r="C7" s="2">
        <f>+B8-0.01</f>
        <v>14410</v>
      </c>
      <c r="D7" s="2">
        <v>0</v>
      </c>
      <c r="E7" s="6">
        <v>0.05</v>
      </c>
    </row>
    <row r="8" spans="2:5" x14ac:dyDescent="0.25">
      <c r="B8" s="2">
        <v>14410.01</v>
      </c>
      <c r="C8" s="2">
        <f t="shared" ref="C8:C14" si="0">+B9-0.01</f>
        <v>18010</v>
      </c>
      <c r="D8" s="2">
        <v>155</v>
      </c>
      <c r="E8" s="6">
        <v>0.1</v>
      </c>
    </row>
    <row r="9" spans="2:5" x14ac:dyDescent="0.25">
      <c r="B9" s="2">
        <v>18010.009999999998</v>
      </c>
      <c r="C9" s="2">
        <f t="shared" si="0"/>
        <v>21630</v>
      </c>
      <c r="D9" s="2">
        <v>515</v>
      </c>
      <c r="E9" s="6">
        <v>0.12</v>
      </c>
    </row>
    <row r="10" spans="2:5" x14ac:dyDescent="0.25">
      <c r="B10" s="2">
        <v>21630.01</v>
      </c>
      <c r="C10" s="2">
        <f t="shared" si="0"/>
        <v>31630</v>
      </c>
      <c r="D10" s="2">
        <v>949</v>
      </c>
      <c r="E10" s="6">
        <v>0.15</v>
      </c>
    </row>
    <row r="11" spans="2:5" x14ac:dyDescent="0.25">
      <c r="B11" s="2">
        <v>31630.01</v>
      </c>
      <c r="C11" s="2">
        <f t="shared" si="0"/>
        <v>41630</v>
      </c>
      <c r="D11" s="2">
        <v>2449</v>
      </c>
      <c r="E11" s="6">
        <v>0.2</v>
      </c>
    </row>
    <row r="12" spans="2:5" x14ac:dyDescent="0.25">
      <c r="B12" s="2">
        <v>41630.01</v>
      </c>
      <c r="C12" s="2">
        <f t="shared" si="0"/>
        <v>51630</v>
      </c>
      <c r="D12" s="2">
        <v>4449</v>
      </c>
      <c r="E12" s="6">
        <v>0.25</v>
      </c>
    </row>
    <row r="13" spans="2:5" x14ac:dyDescent="0.25">
      <c r="B13" s="2">
        <v>51630.01</v>
      </c>
      <c r="C13" s="2">
        <f t="shared" si="0"/>
        <v>61630</v>
      </c>
      <c r="D13" s="2">
        <v>6949</v>
      </c>
      <c r="E13" s="6">
        <v>0.3</v>
      </c>
    </row>
    <row r="14" spans="2:5" x14ac:dyDescent="0.25">
      <c r="B14" s="2">
        <v>61630.01</v>
      </c>
      <c r="C14" s="2">
        <f t="shared" si="0"/>
        <v>100000</v>
      </c>
      <c r="D14" s="2">
        <v>9949</v>
      </c>
      <c r="E14" s="6">
        <v>0.35</v>
      </c>
    </row>
    <row r="15" spans="2:5" x14ac:dyDescent="0.25">
      <c r="B15" s="2">
        <v>100000.01</v>
      </c>
      <c r="C15" s="2" t="s">
        <v>13</v>
      </c>
      <c r="D15" s="2">
        <v>23379</v>
      </c>
      <c r="E15" s="6">
        <v>0.37</v>
      </c>
    </row>
  </sheetData>
  <mergeCells count="1"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DATOS</vt:lpstr>
      <vt:lpstr>Cálculo aporte</vt:lpstr>
      <vt:lpstr>Reducción por discapacidad</vt:lpstr>
      <vt:lpstr>Cálculo IR</vt:lpstr>
      <vt:lpstr>Aplicación gastos personales</vt:lpstr>
      <vt:lpstr>Tabla IR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Latitude</dc:creator>
  <cp:lastModifiedBy>CevallosNoboa</cp:lastModifiedBy>
  <dcterms:created xsi:type="dcterms:W3CDTF">2021-10-06T15:51:09Z</dcterms:created>
  <dcterms:modified xsi:type="dcterms:W3CDTF">2022-01-15T01:50:09Z</dcterms:modified>
</cp:coreProperties>
</file>